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" yWindow="9430" windowWidth="38440" windowHeight="9470" tabRatio="543" activeTab="1"/>
  </bookViews>
  <sheets>
    <sheet name="Estivo senza ricircolo" sheetId="3" r:id="rId1"/>
    <sheet name="Estivo con ricircolo" sheetId="4" r:id="rId2"/>
  </sheets>
  <calcPr calcId="125725"/>
</workbook>
</file>

<file path=xl/calcChain.xml><?xml version="1.0" encoding="utf-8"?>
<calcChain xmlns="http://schemas.openxmlformats.org/spreadsheetml/2006/main">
  <c r="B69" i="4"/>
  <c r="B70" s="1"/>
  <c r="B71" s="1"/>
  <c r="B47"/>
  <c r="B48" s="1"/>
  <c r="D46"/>
  <c r="F46" s="1"/>
  <c r="H46" s="1"/>
  <c r="B46"/>
  <c r="B32"/>
  <c r="B41" s="1"/>
  <c r="B27"/>
  <c r="B21"/>
  <c r="B22" s="1"/>
  <c r="B13"/>
  <c r="B11" s="1"/>
  <c r="B26" s="1"/>
  <c r="B12"/>
  <c r="E10"/>
  <c r="G9"/>
  <c r="E9"/>
  <c r="B7"/>
  <c r="B8" s="1"/>
  <c r="B9" s="1"/>
  <c r="G5"/>
  <c r="B40" i="3"/>
  <c r="B9"/>
  <c r="B23"/>
  <c r="E9"/>
  <c r="B54"/>
  <c r="B55" s="1"/>
  <c r="B47"/>
  <c r="B46"/>
  <c r="D46" s="1"/>
  <c r="F46" s="1"/>
  <c r="H46" s="1"/>
  <c r="B27"/>
  <c r="B11"/>
  <c r="B13"/>
  <c r="B69"/>
  <c r="B70" s="1"/>
  <c r="B71" s="1"/>
  <c r="B41"/>
  <c r="B32"/>
  <c r="B26"/>
  <c r="B22"/>
  <c r="B21"/>
  <c r="B12"/>
  <c r="G9"/>
  <c r="B7"/>
  <c r="B8" s="1"/>
  <c r="G5"/>
  <c r="B23" i="4" l="1"/>
  <c r="B35"/>
  <c r="B28"/>
  <c r="B29"/>
  <c r="B48" i="3"/>
  <c r="B28"/>
  <c r="B37"/>
  <c r="B38" s="1"/>
  <c r="B39" s="1"/>
  <c r="B35"/>
  <c r="B52" s="1"/>
  <c r="B29"/>
  <c r="E10"/>
  <c r="B38" i="4" l="1"/>
  <c r="B39" s="1"/>
  <c r="B52"/>
  <c r="E11"/>
  <c r="E12" s="1"/>
  <c r="B37"/>
  <c r="B58" i="3"/>
  <c r="B61" s="1"/>
  <c r="B59"/>
  <c r="B60"/>
  <c r="B62" s="1"/>
  <c r="B42"/>
  <c r="B43" s="1"/>
  <c r="E11"/>
  <c r="E12" s="1"/>
  <c r="B77"/>
  <c r="B79" s="1"/>
  <c r="B42" i="4" l="1"/>
  <c r="B43" s="1"/>
  <c r="B77"/>
  <c r="B79" s="1"/>
  <c r="B40"/>
  <c r="B54"/>
  <c r="B55" s="1"/>
  <c r="B63" i="3"/>
  <c r="B75"/>
  <c r="B81" s="1"/>
  <c r="B87"/>
  <c r="D87" s="1"/>
  <c r="B58" i="4" l="1"/>
  <c r="B61" s="1"/>
  <c r="B59"/>
  <c r="B60"/>
  <c r="B76" i="3"/>
  <c r="B78"/>
  <c r="B80" s="1"/>
  <c r="B90"/>
  <c r="B84"/>
  <c r="B62" i="4" l="1"/>
  <c r="B63" s="1"/>
  <c r="B87"/>
  <c r="D87" s="1"/>
  <c r="B75"/>
  <c r="B81" l="1"/>
  <c r="B76"/>
  <c r="B78"/>
  <c r="B80" s="1"/>
  <c r="B90" l="1"/>
  <c r="B84"/>
</calcChain>
</file>

<file path=xl/sharedStrings.xml><?xml version="1.0" encoding="utf-8"?>
<sst xmlns="http://schemas.openxmlformats.org/spreadsheetml/2006/main" count="330" uniqueCount="122">
  <si>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</si>
  <si>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</si>
  <si>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</si>
  <si>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</si>
  <si>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</si>
  <si>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</si>
  <si>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</si>
  <si>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</si>
  <si>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</si>
  <si>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</si>
  <si>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</si>
  <si>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</si>
  <si>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</si>
  <si>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KJ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</si>
  <si>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</si>
  <si>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</si>
  <si>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</si>
  <si>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</si>
  <si>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</si>
  <si>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</si>
  <si>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</si>
  <si>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</si>
  <si>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m vap.</t>
  </si>
  <si>
    <t>m vap. tot.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</si>
  <si>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</si>
  <si>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</si>
  <si>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</si>
  <si>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</si>
  <si>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</si>
  <si>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</si>
  <si>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</si>
  <si>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</si>
  <si>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Kj/kg</t>
  </si>
  <si>
    <t>Kg v / Kg as</t>
  </si>
  <si>
    <t>m tot</t>
  </si>
  <si>
    <t>TF</t>
  </si>
  <si>
    <t>p sat = 0,0496965*T^3+0,979515*T^2+46,9035*T+609,484</t>
  </si>
  <si>
    <t>UR B</t>
  </si>
  <si>
    <t>P f = m * (hM - hB) =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</si>
  <si>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</si>
  <si>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</si>
  <si>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</si>
  <si>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</si>
  <si>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</si>
  <si>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</si>
  <si>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</si>
  <si>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</si>
  <si>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</si>
  <si>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</si>
  <si>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</si>
  <si>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UR I = pv / psat *100</t>
  </si>
  <si>
    <t>Port. Rinnovo</t>
  </si>
  <si>
    <t>Portata acqua condensata fra M--&gt;B</t>
  </si>
  <si>
    <t>Punto di miscelazione fra aria rinnovo E e aria ricircolo A</t>
  </si>
  <si>
    <t>(wB-wF)/(TB-TF)=(wM-wF)/(TM-TF)</t>
  </si>
  <si>
    <t>TB= TF+(wB-wF)/((wM-wF)/(TM-TF))</t>
  </si>
  <si>
    <t>Calore sensibile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</si>
  <si>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</si>
  <si>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</si>
  <si>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t>kJ</t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</si>
  <si>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</si>
  <si>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</si>
  <si>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m rinn. MINIMA</t>
  </si>
  <si>
    <t>kg/s</t>
  </si>
  <si>
    <t>KJ   dalla  h = 1,006*T+w*(2501+1,9*T)     [Kj]</t>
  </si>
  <si>
    <t xml:space="preserve">Pa    </t>
  </si>
  <si>
    <t>pv = p * w / (0,622+ w)</t>
  </si>
  <si>
    <t>UR= pv/ps *100  %</t>
  </si>
  <si>
    <t>pv sat F</t>
  </si>
  <si>
    <t>pv sat I</t>
  </si>
  <si>
    <t>pv M</t>
  </si>
  <si>
    <t>kg/s  --&gt; minimo garantito OK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</si>
  <si>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</si>
  <si>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</si>
  <si>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</si>
  <si>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</si>
  <si>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</si>
  <si>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</si>
  <si>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</si>
  <si>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</si>
  <si>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</si>
  <si>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</si>
  <si>
    <t>pv sat E</t>
  </si>
  <si>
    <t>Qs</t>
  </si>
  <si>
    <t>Ql</t>
  </si>
  <si>
    <t>Calcolo fattore di carico</t>
  </si>
  <si>
    <t xml:space="preserve">Pa       </t>
  </si>
  <si>
    <t>pv I</t>
  </si>
  <si>
    <t>ESERCIZIO CLIMATIZZAZIONE ESTIVA CON RICIRCOLO AL 50%</t>
  </si>
  <si>
    <t>Qp s</t>
  </si>
  <si>
    <t>Calore sensibile p.</t>
  </si>
  <si>
    <t>Calore latente p.</t>
  </si>
  <si>
    <t>Calore sensibile dT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</si>
  <si>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</t>
    </r>
  </si>
  <si>
    <t>Trovo la portata totale di aria richiesta con il Qs tot.</t>
  </si>
  <si>
    <t xml:space="preserve"> attività moderata</t>
  </si>
  <si>
    <t>m rinnovo</t>
  </si>
  <si>
    <t>% ricircolo</t>
  </si>
  <si>
    <t>m ricircolo</t>
  </si>
  <si>
    <t>Fissiamo una TF inferiore alla Ti di 5°C (1° tentativo)</t>
  </si>
  <si>
    <r>
      <t xml:space="preserve">Trovo il 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hai dal Q tot.</t>
    </r>
  </si>
  <si>
    <r>
      <t>h</t>
    </r>
    <r>
      <rPr>
        <i/>
        <sz val="9"/>
        <color rgb="FFFF0000"/>
        <rFont val="Calibri"/>
        <family val="2"/>
        <scheme val="minor"/>
      </rPr>
      <t>I</t>
    </r>
    <r>
      <rPr>
        <i/>
        <sz val="11"/>
        <color rgb="FFFF0000"/>
        <rFont val="Calibri"/>
        <family val="2"/>
        <scheme val="minor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</si>
  <si>
    <t>Potenza batteria di raffreddamento</t>
  </si>
  <si>
    <t>Potenza batteria di post riscaldamento</t>
  </si>
  <si>
    <t>Città SUD Italia</t>
  </si>
  <si>
    <t>IMPIANTO DI CLIMATIZZAZIONE ESTIVO FARMACIA</t>
  </si>
  <si>
    <t>Qs totale = m Ct (Ta-Ti)  [w]  con   Ct aria= 1005 j/kg k</t>
  </si>
  <si>
    <t>TR</t>
  </si>
  <si>
    <t>Fattore Bypass</t>
  </si>
  <si>
    <t>wR=wI</t>
  </si>
  <si>
    <t>pv sat R</t>
  </si>
  <si>
    <t>pv R</t>
  </si>
  <si>
    <t>hR</t>
  </si>
  <si>
    <t>Temperatura batteria fredda TF</t>
  </si>
  <si>
    <t>T uscita dalla batteria fredda TR</t>
  </si>
  <si>
    <t>Porta di ricircolo</t>
  </si>
  <si>
    <t>Il punto R sta sulla retta EF e in mira (orizzontale) ad I (similtudine triangoli rettangoli)</t>
  </si>
  <si>
    <t>h = 1,005*T+w*(2501+1,875*T)     [Kj]</t>
  </si>
  <si>
    <t>h = (1,005+1,875*w) *T + 2501*w    [kJ/kg]</t>
  </si>
  <si>
    <t>kg/s  &lt; della m quindi TI va bene</t>
  </si>
  <si>
    <t>ESERCIZIO CLIMATIZZAZIONE ESTIVA SENZA RICIRCOLO</t>
  </si>
  <si>
    <t xml:space="preserve">mvap dalla  Q lat. = mvap* hv = mvap*( 2501 + 1,875 T)   [Kw] 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</si>
</sst>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  <xf numFmtId="0" fontId="0" fillId="0" borderId="0" xfId="0" applyFill="1"/>
    <xf numFmtId="0" fontId="11" fillId="2" borderId="0" xfId="0" applyFont="1" applyFill="1"/>
    <xf numFmtId="0" fontId="0" fillId="2" borderId="0" xfId="0" applyNumberFormat="1" applyFill="1"/>
    <xf numFmtId="1" fontId="0" fillId="0" borderId="0" xfId="0" applyNumberFormat="1" applyFill="1"/>
    <xf numFmtId="164" fontId="0" fillId="0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57</xdr:row>
      <xdr:rowOff>32969</xdr:rowOff>
    </xdr:from>
    <xdr:to>
      <xdr:col>4</xdr:col>
      <xdr:colOff>303557</xdr:colOff>
      <xdr:row>63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3077" y="9513519"/>
          <a:ext cx="1077930" cy="108717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57</xdr:row>
      <xdr:rowOff>32969</xdr:rowOff>
    </xdr:from>
    <xdr:to>
      <xdr:col>4</xdr:col>
      <xdr:colOff>303557</xdr:colOff>
      <xdr:row>63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7227" y="10250119"/>
          <a:ext cx="1077930" cy="108717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3"/>
  <sheetViews>
    <sheetView topLeftCell="A76" zoomScale="150" zoomScaleNormal="150" workbookViewId="0">
      <selection activeCell="F63" sqref="F63"/>
    </sheetView>
  </sheetViews>
  <sheetFormatPr defaultRowHeight="14.5"/>
  <cols>
    <col min="1" max="1" width="22.6328125" customWidth="1"/>
    <col min="3" max="3" width="11.1796875" customWidth="1"/>
    <col min="4" max="4" width="13.453125" customWidth="1"/>
    <col min="5" max="5" width="8.90625" customWidth="1"/>
    <col min="6" max="6" width="5.6328125" customWidth="1"/>
    <col min="7" max="7" width="7.1796875" customWidth="1"/>
    <col min="8" max="8" width="9" customWidth="1"/>
    <col min="9" max="9" width="10.36328125" style="2" customWidth="1"/>
    <col min="10" max="10" width="8.7265625" style="2"/>
  </cols>
  <sheetData>
    <row r="1" spans="1:8">
      <c r="A1" s="1" t="s">
        <v>120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75" customHeight="1">
      <c r="A3" s="1" t="s">
        <v>105</v>
      </c>
      <c r="B3" s="2"/>
      <c r="C3" s="2"/>
      <c r="D3" s="2"/>
      <c r="E3" s="2"/>
      <c r="F3" s="2"/>
      <c r="G3" s="2"/>
      <c r="H3" s="2"/>
    </row>
    <row r="4" spans="1:8">
      <c r="A4" s="2" t="s">
        <v>104</v>
      </c>
      <c r="B4" s="2"/>
      <c r="C4" s="2"/>
      <c r="D4" s="2" t="s">
        <v>6</v>
      </c>
      <c r="E4" s="16">
        <v>60</v>
      </c>
      <c r="F4" s="2" t="s">
        <v>95</v>
      </c>
      <c r="G4" s="2"/>
      <c r="H4" s="2"/>
    </row>
    <row r="5" spans="1:8">
      <c r="A5" s="2" t="s">
        <v>0</v>
      </c>
      <c r="B5" s="16">
        <v>35</v>
      </c>
      <c r="C5" s="2" t="s">
        <v>5</v>
      </c>
      <c r="D5" s="2" t="s">
        <v>51</v>
      </c>
      <c r="E5" s="16">
        <v>11</v>
      </c>
      <c r="F5" s="2" t="s">
        <v>28</v>
      </c>
      <c r="G5" s="2">
        <f>E5*3.6</f>
        <v>39.6</v>
      </c>
      <c r="H5" s="2" t="s">
        <v>29</v>
      </c>
    </row>
    <row r="6" spans="1:8">
      <c r="A6" s="2" t="s">
        <v>74</v>
      </c>
      <c r="B6" s="16">
        <v>50</v>
      </c>
      <c r="C6" s="2" t="s">
        <v>1</v>
      </c>
      <c r="D6" t="s">
        <v>89</v>
      </c>
      <c r="E6" s="16">
        <v>75</v>
      </c>
      <c r="F6" s="2" t="s">
        <v>2</v>
      </c>
      <c r="G6" s="2"/>
      <c r="H6" s="2"/>
    </row>
    <row r="7" spans="1:8">
      <c r="A7" s="2" t="s">
        <v>82</v>
      </c>
      <c r="B7" s="10">
        <f>0.0496965*B5^3+0.979515*B5^2+46.9035*B5+609.484</f>
        <v>5581.7498125000002</v>
      </c>
      <c r="C7" s="2" t="s">
        <v>19</v>
      </c>
      <c r="D7" s="2" t="s">
        <v>3</v>
      </c>
      <c r="E7" s="16">
        <v>55</v>
      </c>
      <c r="F7" s="2" t="s">
        <v>2</v>
      </c>
      <c r="G7" s="2"/>
      <c r="H7" s="2"/>
    </row>
    <row r="8" spans="1:8">
      <c r="A8" s="2" t="s">
        <v>48</v>
      </c>
      <c r="B8" s="17">
        <f>0.622*B6/100*B7/(101325-B6/100*B7)</f>
        <v>1.7617492315843471E-2</v>
      </c>
      <c r="C8" s="2" t="s">
        <v>16</v>
      </c>
      <c r="D8" s="11" t="s">
        <v>121</v>
      </c>
      <c r="E8" s="14"/>
      <c r="F8" s="14"/>
      <c r="G8" s="2"/>
      <c r="H8" s="2"/>
    </row>
    <row r="9" spans="1:8">
      <c r="A9" s="2" t="s">
        <v>49</v>
      </c>
      <c r="B9" s="6">
        <f>1.005*B5+B8*(2501+1.875*B5)</f>
        <v>80.392496215151738</v>
      </c>
      <c r="C9" s="2" t="s">
        <v>13</v>
      </c>
      <c r="D9" s="2" t="s">
        <v>22</v>
      </c>
      <c r="E9" s="7">
        <f>E7/1000/(2501+1.875*$B$19)</f>
        <v>2.1586616297895306E-5</v>
      </c>
      <c r="F9" s="2" t="s">
        <v>7</v>
      </c>
      <c r="G9" s="3">
        <f>E9*3600*1000</f>
        <v>77.711818672423107</v>
      </c>
      <c r="H9" s="2" t="s">
        <v>8</v>
      </c>
    </row>
    <row r="10" spans="1:8" ht="13.25" customHeight="1">
      <c r="A10" s="2"/>
      <c r="B10" s="2"/>
      <c r="C10" s="2"/>
      <c r="D10" s="2" t="s">
        <v>23</v>
      </c>
      <c r="E10" s="19">
        <f>E9*E4</f>
        <v>1.2951969778737184E-3</v>
      </c>
      <c r="F10" s="2" t="s">
        <v>7</v>
      </c>
      <c r="G10" s="2"/>
      <c r="H10" s="2"/>
    </row>
    <row r="11" spans="1:8">
      <c r="A11" s="2" t="s">
        <v>56</v>
      </c>
      <c r="B11" s="16">
        <f>B13+B14</f>
        <v>14500</v>
      </c>
      <c r="C11" s="2" t="s">
        <v>2</v>
      </c>
      <c r="D11" s="26" t="s">
        <v>77</v>
      </c>
      <c r="E11" s="7">
        <f>E10/B35</f>
        <v>8.9859873085583496E-4</v>
      </c>
      <c r="G11" s="14" t="s">
        <v>25</v>
      </c>
    </row>
    <row r="12" spans="1:8" s="2" customFormat="1">
      <c r="A12" s="2" t="s">
        <v>91</v>
      </c>
      <c r="B12" s="16">
        <f>E7*E4</f>
        <v>3300</v>
      </c>
      <c r="C12" s="2" t="s">
        <v>2</v>
      </c>
      <c r="D12" s="2" t="s">
        <v>75</v>
      </c>
      <c r="E12" s="27">
        <f>B22-E11</f>
        <v>8.9882594137236024E-3</v>
      </c>
      <c r="G12" s="14" t="s">
        <v>76</v>
      </c>
    </row>
    <row r="13" spans="1:8" s="2" customFormat="1">
      <c r="A13" s="2" t="s">
        <v>90</v>
      </c>
      <c r="B13" s="16">
        <f>E4*E6</f>
        <v>4500</v>
      </c>
      <c r="C13" s="2" t="s">
        <v>2</v>
      </c>
      <c r="E13" s="27"/>
      <c r="G13" s="14"/>
    </row>
    <row r="14" spans="1:8" s="2" customFormat="1">
      <c r="A14" s="2" t="s">
        <v>92</v>
      </c>
      <c r="B14" s="16">
        <v>10000</v>
      </c>
      <c r="C14" s="2" t="s">
        <v>2</v>
      </c>
      <c r="E14" s="27"/>
      <c r="G14" s="14"/>
    </row>
    <row r="15" spans="1:8" s="2" customFormat="1"/>
    <row r="16" spans="1:8" s="2" customFormat="1">
      <c r="A16" s="1" t="s">
        <v>21</v>
      </c>
      <c r="B16" s="5"/>
    </row>
    <row r="17" spans="1:8" s="2" customFormat="1" ht="13.25" customHeight="1"/>
    <row r="18" spans="1:8" s="2" customFormat="1">
      <c r="A18" s="2" t="s">
        <v>20</v>
      </c>
      <c r="E18" s="3"/>
    </row>
    <row r="19" spans="1:8" s="2" customFormat="1" ht="14.4" customHeight="1">
      <c r="A19" s="2" t="s">
        <v>4</v>
      </c>
      <c r="B19" s="16">
        <v>25</v>
      </c>
      <c r="C19" s="2" t="s">
        <v>5</v>
      </c>
    </row>
    <row r="20" spans="1:8" s="2" customFormat="1" ht="14.4" customHeight="1">
      <c r="A20" s="2" t="s">
        <v>73</v>
      </c>
      <c r="B20" s="16">
        <v>50</v>
      </c>
      <c r="C20" s="2" t="s">
        <v>1</v>
      </c>
      <c r="D20" s="11" t="s">
        <v>67</v>
      </c>
    </row>
    <row r="21" spans="1:8" s="2" customFormat="1" ht="14.4" customHeight="1">
      <c r="A21" s="2" t="s">
        <v>10</v>
      </c>
      <c r="B21" s="10">
        <f>0.0496965*B19^3+0.979515*B19^2+46.9035*B19+609.484</f>
        <v>3170.7761875000001</v>
      </c>
      <c r="C21" s="2" t="s">
        <v>78</v>
      </c>
      <c r="D21" s="11" t="s">
        <v>36</v>
      </c>
      <c r="G21"/>
      <c r="H21"/>
    </row>
    <row r="22" spans="1:8" s="2" customFormat="1" ht="14.4" customHeight="1">
      <c r="A22" s="2" t="s">
        <v>18</v>
      </c>
      <c r="B22" s="8">
        <f>0.622*B20/100*B21/(101325-B20/100*B21)</f>
        <v>9.8868581445794371E-3</v>
      </c>
      <c r="C22" s="2" t="s">
        <v>80</v>
      </c>
      <c r="D22" s="11" t="s">
        <v>79</v>
      </c>
    </row>
    <row r="23" spans="1:8" s="2" customFormat="1" ht="14.4" customHeight="1">
      <c r="A23" s="2" t="s">
        <v>12</v>
      </c>
      <c r="B23" s="6">
        <f>1.005*B19+B22*(2501+1.875*B19)</f>
        <v>50.315478695120333</v>
      </c>
      <c r="C23" s="2" t="s">
        <v>81</v>
      </c>
      <c r="D23" s="11" t="s">
        <v>117</v>
      </c>
    </row>
    <row r="24" spans="1:8" s="2" customFormat="1" ht="14.4" customHeight="1">
      <c r="E24" s="5"/>
    </row>
    <row r="25" spans="1:8" s="2" customFormat="1">
      <c r="A25" s="1" t="s">
        <v>85</v>
      </c>
    </row>
    <row r="26" spans="1:8" s="2" customFormat="1">
      <c r="A26" s="2" t="s">
        <v>83</v>
      </c>
      <c r="B26" s="2">
        <f>B11</f>
        <v>14500</v>
      </c>
      <c r="C26" s="2" t="s">
        <v>2</v>
      </c>
    </row>
    <row r="27" spans="1:8" s="2" customFormat="1">
      <c r="A27" s="2" t="s">
        <v>84</v>
      </c>
      <c r="B27" s="2">
        <f>B12</f>
        <v>3300</v>
      </c>
      <c r="C27" s="2" t="s">
        <v>2</v>
      </c>
    </row>
    <row r="28" spans="1:8" s="2" customFormat="1">
      <c r="A28" s="28" t="s">
        <v>14</v>
      </c>
      <c r="B28" s="7">
        <f>B26+B27</f>
        <v>17800</v>
      </c>
      <c r="C28" s="2" t="s">
        <v>2</v>
      </c>
      <c r="D28" s="4"/>
      <c r="E28" s="5"/>
    </row>
    <row r="29" spans="1:8" s="2" customFormat="1">
      <c r="A29" s="28" t="s">
        <v>15</v>
      </c>
      <c r="B29" s="6">
        <f>B26/(B26+B27)</f>
        <v>0.8146067415730337</v>
      </c>
      <c r="D29" s="4"/>
      <c r="E29" s="5"/>
    </row>
    <row r="30" spans="1:8" s="2" customFormat="1">
      <c r="B30" s="5"/>
    </row>
    <row r="31" spans="1:8" s="2" customFormat="1">
      <c r="A31" s="2" t="s">
        <v>93</v>
      </c>
      <c r="B31" s="16">
        <v>10</v>
      </c>
      <c r="C31" s="2" t="s">
        <v>5</v>
      </c>
    </row>
    <row r="32" spans="1:8" s="2" customFormat="1">
      <c r="A32" s="2" t="s">
        <v>61</v>
      </c>
      <c r="B32" s="12">
        <f>B19-B31</f>
        <v>15</v>
      </c>
      <c r="C32" s="2" t="s">
        <v>5</v>
      </c>
    </row>
    <row r="33" spans="1:8" s="2" customFormat="1"/>
    <row r="34" spans="1:8" s="2" customFormat="1">
      <c r="A34" s="30" t="s">
        <v>94</v>
      </c>
      <c r="B34" s="5"/>
    </row>
    <row r="35" spans="1:8" s="2" customFormat="1">
      <c r="A35" s="2" t="s">
        <v>72</v>
      </c>
      <c r="B35" s="5">
        <f>B26/(1006*(B19-B32))</f>
        <v>1.4413518886679921</v>
      </c>
      <c r="C35" s="2" t="s">
        <v>9</v>
      </c>
      <c r="D35" s="11" t="s">
        <v>106</v>
      </c>
    </row>
    <row r="36" spans="1:8" s="2" customFormat="1">
      <c r="A36" s="30" t="s">
        <v>100</v>
      </c>
      <c r="B36" s="5"/>
      <c r="D36" s="11"/>
    </row>
    <row r="37" spans="1:8" s="2" customFormat="1">
      <c r="A37" s="2" t="s">
        <v>58</v>
      </c>
      <c r="B37" s="3">
        <f>B28/B35/1000</f>
        <v>12.34951724137931</v>
      </c>
      <c r="C37" s="2" t="s">
        <v>59</v>
      </c>
      <c r="D37" s="11" t="s">
        <v>60</v>
      </c>
    </row>
    <row r="38" spans="1:8" s="2" customFormat="1">
      <c r="A38" s="2" t="s">
        <v>57</v>
      </c>
      <c r="B38" s="5">
        <f>B23-B37</f>
        <v>37.965961453741023</v>
      </c>
      <c r="C38" s="2" t="s">
        <v>59</v>
      </c>
      <c r="D38" s="11" t="s">
        <v>101</v>
      </c>
    </row>
    <row r="39" spans="1:8" s="2" customFormat="1">
      <c r="A39" s="2" t="s">
        <v>75</v>
      </c>
      <c r="B39" s="8">
        <f>(B38-1.006*B32)/(2500+1.9*B32)</f>
        <v>9.0472459773545677E-3</v>
      </c>
      <c r="C39" s="2" t="s">
        <v>16</v>
      </c>
      <c r="D39" s="11" t="s">
        <v>79</v>
      </c>
    </row>
    <row r="40" spans="1:8" s="2" customFormat="1">
      <c r="A40" s="2" t="s">
        <v>57</v>
      </c>
      <c r="B40" s="6">
        <f>(1.005+1.875*B39)*B32+2501*B39</f>
        <v>37.956615982476869</v>
      </c>
      <c r="C40" s="2" t="s">
        <v>17</v>
      </c>
      <c r="D40" s="11" t="s">
        <v>118</v>
      </c>
    </row>
    <row r="41" spans="1:8" s="2" customFormat="1">
      <c r="A41" s="2" t="s">
        <v>69</v>
      </c>
      <c r="B41" s="10">
        <f>0.0496965*$B$32^3+0.979515*$B$32^2+46.9035*$B$32+609.484</f>
        <v>1701.1530625</v>
      </c>
      <c r="C41" s="2" t="s">
        <v>19</v>
      </c>
      <c r="D41" s="11" t="s">
        <v>36</v>
      </c>
    </row>
    <row r="42" spans="1:8" s="2" customFormat="1">
      <c r="A42" s="2" t="s">
        <v>87</v>
      </c>
      <c r="B42" s="10">
        <f>101325*B39/(0.622+B39)</f>
        <v>1452.6839384833447</v>
      </c>
      <c r="C42" s="2" t="s">
        <v>86</v>
      </c>
      <c r="D42" s="11" t="s">
        <v>66</v>
      </c>
    </row>
    <row r="43" spans="1:8" s="2" customFormat="1">
      <c r="A43" s="2" t="s">
        <v>50</v>
      </c>
      <c r="B43" s="13">
        <f>B42/B41*100</f>
        <v>85.394075965656654</v>
      </c>
      <c r="C43" s="2" t="s">
        <v>1</v>
      </c>
    </row>
    <row r="44" spans="1:8" s="2" customFormat="1"/>
    <row r="45" spans="1:8" s="2" customFormat="1">
      <c r="A45" s="1" t="s">
        <v>26</v>
      </c>
    </row>
    <row r="46" spans="1:8" s="2" customFormat="1">
      <c r="A46" s="2" t="s">
        <v>27</v>
      </c>
      <c r="B46" s="2">
        <f>E5</f>
        <v>11</v>
      </c>
      <c r="C46" s="2" t="s">
        <v>28</v>
      </c>
      <c r="D46" s="2">
        <f>B46*3.6</f>
        <v>39.6</v>
      </c>
      <c r="E46" s="2" t="s">
        <v>29</v>
      </c>
      <c r="F46" s="2">
        <f>1.2*D46</f>
        <v>47.52</v>
      </c>
      <c r="G46" s="2" t="s">
        <v>30</v>
      </c>
      <c r="H46" s="20">
        <f>F46/3600</f>
        <v>1.3200000000000002E-2</v>
      </c>
    </row>
    <row r="47" spans="1:8" s="2" customFormat="1">
      <c r="A47" s="2" t="s">
        <v>31</v>
      </c>
      <c r="B47" s="2">
        <f>E4</f>
        <v>60</v>
      </c>
    </row>
    <row r="48" spans="1:8" s="2" customFormat="1">
      <c r="A48" s="2" t="s">
        <v>62</v>
      </c>
      <c r="B48" s="7">
        <f>B47*H46</f>
        <v>0.79200000000000015</v>
      </c>
      <c r="C48" s="2" t="s">
        <v>119</v>
      </c>
    </row>
    <row r="49" spans="1:3" s="2" customFormat="1"/>
    <row r="50" spans="1:3" s="2" customFormat="1"/>
    <row r="51" spans="1:3" s="2" customFormat="1">
      <c r="A51" s="1" t="s">
        <v>115</v>
      </c>
    </row>
    <row r="52" spans="1:3" s="2" customFormat="1">
      <c r="A52" s="2" t="s">
        <v>34</v>
      </c>
      <c r="B52" s="9">
        <f>B35</f>
        <v>1.4413518886679921</v>
      </c>
      <c r="C52" s="2" t="s">
        <v>63</v>
      </c>
    </row>
    <row r="53" spans="1:3" s="2" customFormat="1">
      <c r="A53" s="2" t="s">
        <v>97</v>
      </c>
      <c r="B53" s="31">
        <v>0</v>
      </c>
      <c r="C53" s="2" t="s">
        <v>1</v>
      </c>
    </row>
    <row r="54" spans="1:3" s="2" customFormat="1">
      <c r="A54" s="2" t="s">
        <v>98</v>
      </c>
      <c r="B54" s="24">
        <f>B52*B53/100</f>
        <v>0</v>
      </c>
      <c r="C54" s="2" t="s">
        <v>63</v>
      </c>
    </row>
    <row r="55" spans="1:3" s="2" customFormat="1">
      <c r="A55" s="2" t="s">
        <v>96</v>
      </c>
      <c r="B55" s="24">
        <f>B52-B54</f>
        <v>1.4413518886679921</v>
      </c>
      <c r="C55" s="2" t="s">
        <v>71</v>
      </c>
    </row>
    <row r="56" spans="1:3" s="2" customFormat="1"/>
    <row r="57" spans="1:3" s="2" customFormat="1">
      <c r="A57" s="1" t="s">
        <v>53</v>
      </c>
    </row>
    <row r="58" spans="1:3" s="2" customFormat="1">
      <c r="A58" s="2" t="s">
        <v>42</v>
      </c>
      <c r="B58" s="13">
        <f>(B5*$B$55+B19*$B$54)/$B$52</f>
        <v>35</v>
      </c>
      <c r="C58" s="2" t="s">
        <v>5</v>
      </c>
    </row>
    <row r="59" spans="1:3" s="2" customFormat="1">
      <c r="A59" s="2" t="s">
        <v>43</v>
      </c>
      <c r="B59" s="13">
        <f>(B9*$B$55+B23*$B$54)/$B$52</f>
        <v>80.392496215151738</v>
      </c>
      <c r="C59" s="2" t="s">
        <v>32</v>
      </c>
    </row>
    <row r="60" spans="1:3" s="2" customFormat="1">
      <c r="A60" s="2" t="s">
        <v>44</v>
      </c>
      <c r="B60" s="17">
        <f>(B8*$B$55+B22*$B$54)/$B$52</f>
        <v>1.7617492315843471E-2</v>
      </c>
      <c r="C60" s="2" t="s">
        <v>33</v>
      </c>
    </row>
    <row r="61" spans="1:3" s="2" customFormat="1">
      <c r="A61" s="2" t="s">
        <v>69</v>
      </c>
      <c r="B61" s="10">
        <f>0.0496965*B58^3+0.979515*B58^2+46.9035*B58+609.484</f>
        <v>5581.7498125000002</v>
      </c>
      <c r="C61" s="2" t="s">
        <v>19</v>
      </c>
    </row>
    <row r="62" spans="1:3" s="2" customFormat="1">
      <c r="A62" s="2" t="s">
        <v>70</v>
      </c>
      <c r="B62" s="10">
        <f>101325*B60/(0.622+B60)</f>
        <v>2790.8749062500001</v>
      </c>
      <c r="C62" s="2" t="s">
        <v>19</v>
      </c>
    </row>
    <row r="63" spans="1:3" s="2" customFormat="1">
      <c r="A63" s="2" t="s">
        <v>24</v>
      </c>
      <c r="B63" s="13">
        <f>B62/B61*100</f>
        <v>50</v>
      </c>
      <c r="C63" s="2" t="s">
        <v>1</v>
      </c>
    </row>
    <row r="64" spans="1:3" s="2" customFormat="1"/>
    <row r="65" spans="1:7" s="2" customFormat="1">
      <c r="A65" s="1" t="s">
        <v>113</v>
      </c>
    </row>
    <row r="66" spans="1:7" s="2" customFormat="1">
      <c r="A66" s="30" t="s">
        <v>99</v>
      </c>
    </row>
    <row r="67" spans="1:7" s="2" customFormat="1">
      <c r="A67" s="2" t="s">
        <v>35</v>
      </c>
      <c r="B67" s="2">
        <v>10</v>
      </c>
      <c r="C67" s="2" t="s">
        <v>5</v>
      </c>
    </row>
    <row r="68" spans="1:7" s="2" customFormat="1">
      <c r="A68" s="2" t="s">
        <v>45</v>
      </c>
      <c r="B68" s="2">
        <v>100</v>
      </c>
      <c r="C68" s="2" t="s">
        <v>1</v>
      </c>
    </row>
    <row r="69" spans="1:7" s="2" customFormat="1">
      <c r="A69" s="2" t="s">
        <v>68</v>
      </c>
      <c r="B69" s="10">
        <f>0.0496965*B67^3+0.979515*B67^2+46.9035*B67+609.484</f>
        <v>1226.1669999999999</v>
      </c>
      <c r="C69" s="2" t="s">
        <v>19</v>
      </c>
    </row>
    <row r="70" spans="1:7" s="2" customFormat="1">
      <c r="A70" s="2" t="s">
        <v>46</v>
      </c>
      <c r="B70" s="17">
        <f>0.622*B68/100*B69/(101325-B68/100*B69)</f>
        <v>7.6192284279677858E-3</v>
      </c>
      <c r="C70" s="2" t="s">
        <v>11</v>
      </c>
    </row>
    <row r="71" spans="1:7" s="2" customFormat="1">
      <c r="A71" s="2" t="s">
        <v>47</v>
      </c>
      <c r="B71" s="6">
        <f>1.006*B67+B70*(2501+1.805*B67)</f>
        <v>29.253217371472253</v>
      </c>
      <c r="C71" s="2" t="s">
        <v>13</v>
      </c>
    </row>
    <row r="72" spans="1:7" s="2" customFormat="1"/>
    <row r="73" spans="1:7" s="2" customFormat="1">
      <c r="A73" s="1" t="s">
        <v>114</v>
      </c>
    </row>
    <row r="74" spans="1:7" s="2" customFormat="1">
      <c r="A74" s="30" t="s">
        <v>116</v>
      </c>
    </row>
    <row r="75" spans="1:7" s="2" customFormat="1">
      <c r="A75" s="2" t="s">
        <v>107</v>
      </c>
      <c r="B75" s="16">
        <f>B67+(B39-B70)/((B60-B70)/(B58-B67))</f>
        <v>13.570663780735114</v>
      </c>
      <c r="C75" s="2" t="s">
        <v>5</v>
      </c>
      <c r="D75" s="11" t="s">
        <v>54</v>
      </c>
      <c r="E75" s="11"/>
      <c r="F75" s="11"/>
      <c r="G75" s="11"/>
    </row>
    <row r="76" spans="1:7" s="2" customFormat="1">
      <c r="A76" s="2" t="s">
        <v>108</v>
      </c>
      <c r="B76" s="9">
        <f>(B75-B67)/(B58-B67)</f>
        <v>0.14282655122940455</v>
      </c>
      <c r="D76" s="11" t="s">
        <v>55</v>
      </c>
      <c r="E76" s="11"/>
      <c r="F76" s="11"/>
      <c r="G76" s="11"/>
    </row>
    <row r="77" spans="1:7" s="2" customFormat="1">
      <c r="A77" s="2" t="s">
        <v>109</v>
      </c>
      <c r="B77" s="25">
        <f>B39</f>
        <v>9.0472459773545677E-3</v>
      </c>
      <c r="C77" s="2" t="s">
        <v>33</v>
      </c>
      <c r="E77" s="9"/>
    </row>
    <row r="78" spans="1:7" s="2" customFormat="1">
      <c r="A78" s="2" t="s">
        <v>110</v>
      </c>
      <c r="B78" s="10">
        <f>0.0496965*B75^3+0.979515*B75^2+46.9035*B75+609.484</f>
        <v>1550.5881059414492</v>
      </c>
      <c r="C78" s="2" t="s">
        <v>19</v>
      </c>
      <c r="D78" s="11" t="s">
        <v>36</v>
      </c>
    </row>
    <row r="79" spans="1:7" s="2" customFormat="1">
      <c r="A79" s="2" t="s">
        <v>111</v>
      </c>
      <c r="B79" s="10">
        <f>101325*B77/(0.622+B77)</f>
        <v>1452.6839384833447</v>
      </c>
      <c r="C79" s="2" t="s">
        <v>65</v>
      </c>
      <c r="D79" s="11" t="s">
        <v>66</v>
      </c>
    </row>
    <row r="80" spans="1:7" s="2" customFormat="1">
      <c r="A80" s="2" t="s">
        <v>37</v>
      </c>
      <c r="B80" s="13">
        <f>B79/B78*100</f>
        <v>93.685997778329323</v>
      </c>
      <c r="C80" s="2" t="s">
        <v>1</v>
      </c>
      <c r="D80" s="11" t="s">
        <v>67</v>
      </c>
    </row>
    <row r="81" spans="1:7" s="2" customFormat="1">
      <c r="A81" s="2" t="s">
        <v>112</v>
      </c>
      <c r="B81" s="6">
        <f>1.006*B75+B77*(2501+1.9*B75)</f>
        <v>36.512526506053845</v>
      </c>
      <c r="C81" s="2" t="s">
        <v>64</v>
      </c>
      <c r="G81" s="15"/>
    </row>
    <row r="82" spans="1:7" s="2" customFormat="1"/>
    <row r="83" spans="1:7" s="2" customFormat="1">
      <c r="A83" s="1" t="s">
        <v>102</v>
      </c>
    </row>
    <row r="84" spans="1:7" s="2" customFormat="1">
      <c r="A84" s="2" t="s">
        <v>38</v>
      </c>
      <c r="B84" s="13">
        <f>B52*(B59-B81)</f>
        <v>63.246477214902534</v>
      </c>
      <c r="C84" s="2" t="s">
        <v>40</v>
      </c>
    </row>
    <row r="85" spans="1:7" s="2" customFormat="1">
      <c r="B85" s="13"/>
      <c r="G85" s="5"/>
    </row>
    <row r="86" spans="1:7" s="2" customFormat="1">
      <c r="A86" s="1" t="s">
        <v>52</v>
      </c>
      <c r="G86" s="5"/>
    </row>
    <row r="87" spans="1:7" s="2" customFormat="1">
      <c r="A87" s="2" t="s">
        <v>41</v>
      </c>
      <c r="B87" s="7">
        <f>B52*(B60-B39)</f>
        <v>1.2352740746330925E-2</v>
      </c>
      <c r="C87" s="2" t="s">
        <v>9</v>
      </c>
      <c r="D87" s="5">
        <f>B87*3600</f>
        <v>44.469866686791327</v>
      </c>
      <c r="E87" s="2" t="s">
        <v>30</v>
      </c>
    </row>
    <row r="88" spans="1:7" s="2" customFormat="1">
      <c r="D88" s="5"/>
    </row>
    <row r="89" spans="1:7" s="2" customFormat="1">
      <c r="A89" s="1" t="s">
        <v>103</v>
      </c>
      <c r="B89" s="3"/>
    </row>
    <row r="90" spans="1:7" s="2" customFormat="1">
      <c r="A90" s="2" t="s">
        <v>39</v>
      </c>
      <c r="B90" s="13">
        <f>B52*(B40-B81)</f>
        <v>2.0814410942478969</v>
      </c>
      <c r="C90" s="2" t="s">
        <v>40</v>
      </c>
    </row>
    <row r="91" spans="1:7" s="2" customFormat="1"/>
    <row r="92" spans="1:7" s="2" customFormat="1"/>
    <row r="93" spans="1:7" s="2" customFormat="1">
      <c r="A93" s="1"/>
    </row>
    <row r="94" spans="1:7" s="2" customFormat="1">
      <c r="B94" s="18"/>
    </row>
    <row r="95" spans="1:7" s="2" customFormat="1"/>
    <row r="96" spans="1:7" s="2" customFormat="1">
      <c r="B96" s="5"/>
    </row>
    <row r="97" spans="2:7" s="2" customFormat="1">
      <c r="B97" s="5"/>
    </row>
    <row r="98" spans="2:7" s="2" customFormat="1">
      <c r="B98" s="5"/>
      <c r="G98"/>
    </row>
    <row r="99" spans="2:7" s="2" customFormat="1"/>
    <row r="100" spans="2:7" s="2" customFormat="1"/>
    <row r="101" spans="2:7" s="29" customFormat="1">
      <c r="B101" s="32"/>
    </row>
    <row r="102" spans="2:7" s="29" customFormat="1">
      <c r="B102" s="32"/>
    </row>
    <row r="103" spans="2:7" s="29" customFormat="1">
      <c r="B103" s="33"/>
    </row>
    <row r="104" spans="2:7" s="29" customFormat="1"/>
    <row r="105" spans="2:7" s="29" customFormat="1"/>
    <row r="106" spans="2:7" s="29" customFormat="1"/>
    <row r="107" spans="2:7" s="29" customFormat="1"/>
    <row r="108" spans="2:7" s="29" customFormat="1"/>
    <row r="109" spans="2:7" s="29" customFormat="1"/>
    <row r="110" spans="2:7" s="29" customFormat="1"/>
    <row r="111" spans="2:7" s="29" customFormat="1"/>
    <row r="141" spans="5:7">
      <c r="E141" s="21"/>
    </row>
    <row r="142" spans="5:7">
      <c r="E142" s="22"/>
    </row>
    <row r="143" spans="5:7">
      <c r="E143" s="22"/>
      <c r="G143" s="23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2"/>
  <sheetViews>
    <sheetView tabSelected="1" topLeftCell="A49" zoomScale="150" zoomScaleNormal="150" workbookViewId="0">
      <selection activeCell="H60" sqref="H60"/>
    </sheetView>
  </sheetViews>
  <sheetFormatPr defaultRowHeight="14.5"/>
  <cols>
    <col min="1" max="1" width="22.6328125" customWidth="1"/>
    <col min="3" max="3" width="11.1796875" customWidth="1"/>
    <col min="4" max="4" width="13.453125" customWidth="1"/>
    <col min="5" max="5" width="8.90625" customWidth="1"/>
    <col min="6" max="6" width="5.6328125" customWidth="1"/>
    <col min="7" max="7" width="7.1796875" customWidth="1"/>
    <col min="8" max="8" width="9" customWidth="1"/>
    <col min="9" max="9" width="10.36328125" style="2" customWidth="1"/>
  </cols>
  <sheetData>
    <row r="1" spans="1:8">
      <c r="A1" s="1" t="s">
        <v>88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75" customHeight="1">
      <c r="A3" s="1" t="s">
        <v>105</v>
      </c>
      <c r="B3" s="2"/>
      <c r="C3" s="2"/>
      <c r="D3" s="2"/>
      <c r="E3" s="2"/>
      <c r="F3" s="2"/>
      <c r="G3" s="2"/>
      <c r="H3" s="2"/>
    </row>
    <row r="4" spans="1:8">
      <c r="A4" s="2" t="s">
        <v>104</v>
      </c>
      <c r="B4" s="2"/>
      <c r="C4" s="2"/>
      <c r="D4" s="2" t="s">
        <v>6</v>
      </c>
      <c r="E4" s="16">
        <v>60</v>
      </c>
      <c r="F4" s="2" t="s">
        <v>95</v>
      </c>
      <c r="G4" s="2"/>
      <c r="H4" s="2"/>
    </row>
    <row r="5" spans="1:8">
      <c r="A5" s="2" t="s">
        <v>0</v>
      </c>
      <c r="B5" s="16">
        <v>35</v>
      </c>
      <c r="C5" s="2" t="s">
        <v>5</v>
      </c>
      <c r="D5" s="2" t="s">
        <v>51</v>
      </c>
      <c r="E5" s="16">
        <v>11</v>
      </c>
      <c r="F5" s="2" t="s">
        <v>28</v>
      </c>
      <c r="G5" s="2">
        <f>E5*3.6</f>
        <v>39.6</v>
      </c>
      <c r="H5" s="2" t="s">
        <v>29</v>
      </c>
    </row>
    <row r="6" spans="1:8">
      <c r="A6" s="2" t="s">
        <v>74</v>
      </c>
      <c r="B6" s="16">
        <v>50</v>
      </c>
      <c r="C6" s="2" t="s">
        <v>1</v>
      </c>
      <c r="D6" t="s">
        <v>89</v>
      </c>
      <c r="E6" s="16">
        <v>75</v>
      </c>
      <c r="F6" t="s">
        <v>2</v>
      </c>
    </row>
    <row r="7" spans="1:8">
      <c r="A7" s="2" t="s">
        <v>82</v>
      </c>
      <c r="B7" s="10">
        <f>0.0496965*B5^3+0.979515*B5^2+46.9035*B5+609.484</f>
        <v>5581.7498125000002</v>
      </c>
      <c r="C7" s="2" t="s">
        <v>19</v>
      </c>
      <c r="D7" s="2" t="s">
        <v>3</v>
      </c>
      <c r="E7" s="16">
        <v>55</v>
      </c>
      <c r="F7" s="2" t="s">
        <v>2</v>
      </c>
      <c r="G7" s="2"/>
      <c r="H7" s="2"/>
    </row>
    <row r="8" spans="1:8">
      <c r="A8" s="2" t="s">
        <v>48</v>
      </c>
      <c r="B8" s="17">
        <f>0.622*B6/100*B7/(101325-B6/100*B7)</f>
        <v>1.7617492315843471E-2</v>
      </c>
      <c r="C8" s="2" t="s">
        <v>16</v>
      </c>
      <c r="D8" s="11" t="s">
        <v>121</v>
      </c>
      <c r="E8" s="14"/>
      <c r="F8" s="14"/>
      <c r="G8" s="2"/>
      <c r="H8" s="2"/>
    </row>
    <row r="9" spans="1:8">
      <c r="A9" s="2" t="s">
        <v>49</v>
      </c>
      <c r="B9" s="6">
        <f>1.005*B5+B8*(2501+1.875*B5)</f>
        <v>80.392496215151738</v>
      </c>
      <c r="C9" s="2" t="s">
        <v>13</v>
      </c>
      <c r="D9" s="2" t="s">
        <v>22</v>
      </c>
      <c r="E9" s="7">
        <f>E7/1000/(2501+1.875*$B$19)</f>
        <v>2.1586616297895306E-5</v>
      </c>
      <c r="F9" s="2" t="s">
        <v>7</v>
      </c>
      <c r="G9" s="3">
        <f>E9*3600*1000</f>
        <v>77.711818672423107</v>
      </c>
      <c r="H9" s="2" t="s">
        <v>8</v>
      </c>
    </row>
    <row r="10" spans="1:8" ht="13.25" customHeight="1">
      <c r="A10" s="2"/>
      <c r="B10" s="2"/>
      <c r="C10" s="2"/>
      <c r="D10" s="2" t="s">
        <v>23</v>
      </c>
      <c r="E10" s="19">
        <f>E9*E4</f>
        <v>1.2951969778737184E-3</v>
      </c>
      <c r="F10" s="2" t="s">
        <v>7</v>
      </c>
      <c r="G10" s="2"/>
      <c r="H10" s="2"/>
    </row>
    <row r="11" spans="1:8">
      <c r="A11" s="2" t="s">
        <v>56</v>
      </c>
      <c r="B11" s="16">
        <f>B13+B14</f>
        <v>14500</v>
      </c>
      <c r="C11" s="2" t="s">
        <v>2</v>
      </c>
      <c r="D11" s="26" t="s">
        <v>77</v>
      </c>
      <c r="E11" s="7">
        <f>E10/B35</f>
        <v>8.9859873085583496E-4</v>
      </c>
      <c r="G11" s="14" t="s">
        <v>25</v>
      </c>
    </row>
    <row r="12" spans="1:8" s="2" customFormat="1">
      <c r="A12" s="2" t="s">
        <v>91</v>
      </c>
      <c r="B12" s="16">
        <f>E7*E4</f>
        <v>3300</v>
      </c>
      <c r="C12" s="2" t="s">
        <v>2</v>
      </c>
      <c r="D12" s="2" t="s">
        <v>75</v>
      </c>
      <c r="E12" s="27">
        <f>B22-E11</f>
        <v>8.9882594137236024E-3</v>
      </c>
      <c r="G12" s="14" t="s">
        <v>76</v>
      </c>
    </row>
    <row r="13" spans="1:8" s="2" customFormat="1">
      <c r="A13" s="2" t="s">
        <v>90</v>
      </c>
      <c r="B13" s="16">
        <f>E4*E6</f>
        <v>4500</v>
      </c>
      <c r="C13" s="2" t="s">
        <v>2</v>
      </c>
      <c r="E13" s="27"/>
      <c r="G13" s="14"/>
    </row>
    <row r="14" spans="1:8" s="2" customFormat="1">
      <c r="A14" s="2" t="s">
        <v>92</v>
      </c>
      <c r="B14" s="16">
        <v>10000</v>
      </c>
      <c r="C14" s="2" t="s">
        <v>2</v>
      </c>
      <c r="E14" s="27"/>
      <c r="G14" s="14"/>
    </row>
    <row r="15" spans="1:8" s="2" customFormat="1"/>
    <row r="16" spans="1:8" s="2" customFormat="1">
      <c r="A16" s="1" t="s">
        <v>21</v>
      </c>
      <c r="B16" s="5"/>
    </row>
    <row r="17" spans="1:8" s="2" customFormat="1" ht="13.25" customHeight="1"/>
    <row r="18" spans="1:8" s="2" customFormat="1">
      <c r="A18" s="2" t="s">
        <v>20</v>
      </c>
      <c r="E18" s="3"/>
    </row>
    <row r="19" spans="1:8" s="2" customFormat="1" ht="14.4" customHeight="1">
      <c r="A19" s="2" t="s">
        <v>4</v>
      </c>
      <c r="B19" s="16">
        <v>25</v>
      </c>
      <c r="C19" s="2" t="s">
        <v>5</v>
      </c>
    </row>
    <row r="20" spans="1:8" s="2" customFormat="1" ht="14.4" customHeight="1">
      <c r="A20" s="2" t="s">
        <v>73</v>
      </c>
      <c r="B20" s="16">
        <v>50</v>
      </c>
      <c r="C20" s="2" t="s">
        <v>1</v>
      </c>
      <c r="D20" s="11" t="s">
        <v>67</v>
      </c>
    </row>
    <row r="21" spans="1:8" s="2" customFormat="1" ht="14.4" customHeight="1">
      <c r="A21" s="2" t="s">
        <v>10</v>
      </c>
      <c r="B21" s="10">
        <f>0.0496965*B19^3+0.979515*B19^2+46.9035*B19+609.484</f>
        <v>3170.7761875000001</v>
      </c>
      <c r="C21" s="2" t="s">
        <v>78</v>
      </c>
      <c r="D21" s="11" t="s">
        <v>36</v>
      </c>
      <c r="G21"/>
      <c r="H21"/>
    </row>
    <row r="22" spans="1:8" s="2" customFormat="1" ht="14.4" customHeight="1">
      <c r="A22" s="2" t="s">
        <v>18</v>
      </c>
      <c r="B22" s="8">
        <f>0.622*B20/100*B21/(101325-B20/100*B21)</f>
        <v>9.8868581445794371E-3</v>
      </c>
      <c r="C22" s="2" t="s">
        <v>80</v>
      </c>
      <c r="D22" s="11" t="s">
        <v>79</v>
      </c>
    </row>
    <row r="23" spans="1:8" s="2" customFormat="1" ht="14.4" customHeight="1">
      <c r="A23" s="2" t="s">
        <v>12</v>
      </c>
      <c r="B23" s="6">
        <f>1.005*B19+B22*(2501+1.875*B19)</f>
        <v>50.315478695120333</v>
      </c>
      <c r="C23" s="2" t="s">
        <v>81</v>
      </c>
      <c r="D23" s="11" t="s">
        <v>117</v>
      </c>
    </row>
    <row r="24" spans="1:8" s="2" customFormat="1" ht="14.4" customHeight="1">
      <c r="E24" s="5"/>
    </row>
    <row r="25" spans="1:8" s="2" customFormat="1">
      <c r="A25" s="1" t="s">
        <v>85</v>
      </c>
    </row>
    <row r="26" spans="1:8" s="2" customFormat="1">
      <c r="A26" s="2" t="s">
        <v>83</v>
      </c>
      <c r="B26" s="2">
        <f>B11</f>
        <v>14500</v>
      </c>
      <c r="C26" s="2" t="s">
        <v>2</v>
      </c>
    </row>
    <row r="27" spans="1:8" s="2" customFormat="1">
      <c r="A27" s="2" t="s">
        <v>84</v>
      </c>
      <c r="B27" s="2">
        <f>B12</f>
        <v>3300</v>
      </c>
      <c r="C27" s="2" t="s">
        <v>2</v>
      </c>
    </row>
    <row r="28" spans="1:8" s="2" customFormat="1">
      <c r="A28" s="28" t="s">
        <v>14</v>
      </c>
      <c r="B28" s="7">
        <f>B26+B27</f>
        <v>17800</v>
      </c>
      <c r="C28" s="2" t="s">
        <v>2</v>
      </c>
      <c r="D28" s="4"/>
      <c r="E28" s="5"/>
    </row>
    <row r="29" spans="1:8" s="2" customFormat="1">
      <c r="A29" s="28" t="s">
        <v>15</v>
      </c>
      <c r="B29" s="6">
        <f>B26/(B26+B27)</f>
        <v>0.8146067415730337</v>
      </c>
      <c r="D29" s="4"/>
      <c r="E29" s="5"/>
    </row>
    <row r="30" spans="1:8" s="2" customFormat="1">
      <c r="B30" s="5"/>
    </row>
    <row r="31" spans="1:8" s="2" customFormat="1">
      <c r="A31" s="2" t="s">
        <v>93</v>
      </c>
      <c r="B31" s="16">
        <v>10</v>
      </c>
      <c r="C31" s="2" t="s">
        <v>5</v>
      </c>
    </row>
    <row r="32" spans="1:8" s="2" customFormat="1">
      <c r="A32" s="2" t="s">
        <v>61</v>
      </c>
      <c r="B32" s="12">
        <f>B19-B31</f>
        <v>15</v>
      </c>
      <c r="C32" s="2" t="s">
        <v>5</v>
      </c>
    </row>
    <row r="33" spans="1:8" s="2" customFormat="1"/>
    <row r="34" spans="1:8" s="2" customFormat="1">
      <c r="A34" s="30" t="s">
        <v>94</v>
      </c>
      <c r="B34" s="5"/>
    </row>
    <row r="35" spans="1:8" s="2" customFormat="1">
      <c r="A35" s="2" t="s">
        <v>72</v>
      </c>
      <c r="B35" s="5">
        <f>B26/(1006*(B19-B32))</f>
        <v>1.4413518886679921</v>
      </c>
      <c r="C35" s="2" t="s">
        <v>9</v>
      </c>
      <c r="D35" s="11" t="s">
        <v>106</v>
      </c>
    </row>
    <row r="36" spans="1:8" s="2" customFormat="1">
      <c r="A36" s="30" t="s">
        <v>100</v>
      </c>
      <c r="B36" s="5"/>
      <c r="D36" s="11"/>
    </row>
    <row r="37" spans="1:8" s="2" customFormat="1">
      <c r="A37" s="2" t="s">
        <v>58</v>
      </c>
      <c r="B37" s="3">
        <f>B28/B35/1000</f>
        <v>12.34951724137931</v>
      </c>
      <c r="C37" s="2" t="s">
        <v>59</v>
      </c>
      <c r="D37" s="11" t="s">
        <v>60</v>
      </c>
    </row>
    <row r="38" spans="1:8" s="2" customFormat="1">
      <c r="A38" s="2" t="s">
        <v>57</v>
      </c>
      <c r="B38" s="5">
        <f>B23-B37</f>
        <v>37.965961453741023</v>
      </c>
      <c r="C38" s="2" t="s">
        <v>59</v>
      </c>
      <c r="D38" s="11" t="s">
        <v>101</v>
      </c>
    </row>
    <row r="39" spans="1:8" s="2" customFormat="1">
      <c r="A39" s="2" t="s">
        <v>75</v>
      </c>
      <c r="B39" s="8">
        <f>(B38-1.006*B32)/(2500+1.9*B32)</f>
        <v>9.0472459773545677E-3</v>
      </c>
      <c r="C39" s="2" t="s">
        <v>16</v>
      </c>
      <c r="D39" s="11" t="s">
        <v>79</v>
      </c>
    </row>
    <row r="40" spans="1:8" s="2" customFormat="1">
      <c r="A40" s="2" t="s">
        <v>57</v>
      </c>
      <c r="B40" s="6">
        <f>(1.005+1.875*B39)*B32+2501*B39</f>
        <v>37.956615982476869</v>
      </c>
      <c r="C40" s="2" t="s">
        <v>17</v>
      </c>
      <c r="D40" s="11" t="s">
        <v>118</v>
      </c>
    </row>
    <row r="41" spans="1:8" s="2" customFormat="1">
      <c r="A41" s="2" t="s">
        <v>69</v>
      </c>
      <c r="B41" s="10">
        <f>0.0496965*$B$32^3+0.979515*$B$32^2+46.9035*$B$32+609.484</f>
        <v>1701.1530625</v>
      </c>
      <c r="C41" s="2" t="s">
        <v>19</v>
      </c>
      <c r="D41" s="11" t="s">
        <v>36</v>
      </c>
    </row>
    <row r="42" spans="1:8" s="2" customFormat="1">
      <c r="A42" s="2" t="s">
        <v>87</v>
      </c>
      <c r="B42" s="10">
        <f>101325*B39/(0.622+B39)</f>
        <v>1452.6839384833447</v>
      </c>
      <c r="C42" s="2" t="s">
        <v>86</v>
      </c>
      <c r="D42" s="11" t="s">
        <v>66</v>
      </c>
    </row>
    <row r="43" spans="1:8" s="2" customFormat="1">
      <c r="A43" s="2" t="s">
        <v>50</v>
      </c>
      <c r="B43" s="13">
        <f>B42/B41*100</f>
        <v>85.394075965656654</v>
      </c>
      <c r="C43" s="2" t="s">
        <v>1</v>
      </c>
    </row>
    <row r="44" spans="1:8" s="2" customFormat="1"/>
    <row r="45" spans="1:8" s="2" customFormat="1">
      <c r="A45" s="1" t="s">
        <v>26</v>
      </c>
    </row>
    <row r="46" spans="1:8" s="2" customFormat="1">
      <c r="A46" s="2" t="s">
        <v>27</v>
      </c>
      <c r="B46" s="2">
        <f>E5</f>
        <v>11</v>
      </c>
      <c r="C46" s="2" t="s">
        <v>28</v>
      </c>
      <c r="D46" s="2">
        <f>B46*3.6</f>
        <v>39.6</v>
      </c>
      <c r="E46" s="2" t="s">
        <v>29</v>
      </c>
      <c r="F46" s="2">
        <f>1.2*D46</f>
        <v>47.52</v>
      </c>
      <c r="G46" s="2" t="s">
        <v>30</v>
      </c>
      <c r="H46" s="20">
        <f>F46/3600</f>
        <v>1.3200000000000002E-2</v>
      </c>
    </row>
    <row r="47" spans="1:8" s="2" customFormat="1">
      <c r="A47" s="2" t="s">
        <v>31</v>
      </c>
      <c r="B47" s="2">
        <f>E4</f>
        <v>60</v>
      </c>
    </row>
    <row r="48" spans="1:8" s="2" customFormat="1">
      <c r="A48" s="2" t="s">
        <v>62</v>
      </c>
      <c r="B48" s="7">
        <f>B47*H46</f>
        <v>0.79200000000000015</v>
      </c>
      <c r="C48" s="2" t="s">
        <v>119</v>
      </c>
    </row>
    <row r="49" spans="1:3" s="2" customFormat="1"/>
    <row r="50" spans="1:3" s="2" customFormat="1"/>
    <row r="51" spans="1:3" s="2" customFormat="1">
      <c r="A51" s="1" t="s">
        <v>115</v>
      </c>
    </row>
    <row r="52" spans="1:3" s="2" customFormat="1">
      <c r="A52" s="2" t="s">
        <v>34</v>
      </c>
      <c r="B52" s="9">
        <f>B35</f>
        <v>1.4413518886679921</v>
      </c>
      <c r="C52" s="2" t="s">
        <v>63</v>
      </c>
    </row>
    <row r="53" spans="1:3" s="2" customFormat="1">
      <c r="A53" s="2" t="s">
        <v>97</v>
      </c>
      <c r="B53" s="31">
        <v>40</v>
      </c>
      <c r="C53" s="2" t="s">
        <v>1</v>
      </c>
    </row>
    <row r="54" spans="1:3" s="2" customFormat="1">
      <c r="A54" s="2" t="s">
        <v>98</v>
      </c>
      <c r="B54" s="24">
        <f>B52*B53/100</f>
        <v>0.57654075546719685</v>
      </c>
      <c r="C54" s="2" t="s">
        <v>63</v>
      </c>
    </row>
    <row r="55" spans="1:3" s="2" customFormat="1">
      <c r="A55" s="2" t="s">
        <v>96</v>
      </c>
      <c r="B55" s="24">
        <f>B52-B54</f>
        <v>0.86481113320079528</v>
      </c>
      <c r="C55" s="2" t="s">
        <v>71</v>
      </c>
    </row>
    <row r="56" spans="1:3" s="2" customFormat="1"/>
    <row r="57" spans="1:3" s="2" customFormat="1">
      <c r="A57" s="1" t="s">
        <v>53</v>
      </c>
    </row>
    <row r="58" spans="1:3" s="2" customFormat="1">
      <c r="A58" s="2" t="s">
        <v>42</v>
      </c>
      <c r="B58" s="13">
        <f>(B5*$B$55+B19*$B$54)/$B$52</f>
        <v>30.999999999999996</v>
      </c>
      <c r="C58" s="2" t="s">
        <v>5</v>
      </c>
    </row>
    <row r="59" spans="1:3" s="2" customFormat="1">
      <c r="A59" s="2" t="s">
        <v>43</v>
      </c>
      <c r="B59" s="13">
        <f>(B9*$B$55+B23*$B$54)/$B$52</f>
        <v>68.361689207139165</v>
      </c>
      <c r="C59" s="2" t="s">
        <v>32</v>
      </c>
    </row>
    <row r="60" spans="1:3" s="2" customFormat="1">
      <c r="A60" s="2" t="s">
        <v>44</v>
      </c>
      <c r="B60" s="17">
        <f>(B8*$B$55+B22*$B$54)/$B$52</f>
        <v>1.4525238647337858E-2</v>
      </c>
      <c r="C60" s="2" t="s">
        <v>33</v>
      </c>
    </row>
    <row r="61" spans="1:3" s="2" customFormat="1">
      <c r="A61" s="2" t="s">
        <v>69</v>
      </c>
      <c r="B61" s="10">
        <f>0.0496965*B58^3+0.979515*B58^2+46.9035*B58+609.484</f>
        <v>4485.3148464999995</v>
      </c>
      <c r="C61" s="2" t="s">
        <v>19</v>
      </c>
    </row>
    <row r="62" spans="1:3" s="2" customFormat="1">
      <c r="A62" s="2" t="s">
        <v>70</v>
      </c>
      <c r="B62" s="10">
        <f>101325*B60/(0.622+B60)</f>
        <v>2312.1939501866814</v>
      </c>
      <c r="C62" s="2" t="s">
        <v>19</v>
      </c>
    </row>
    <row r="63" spans="1:3" s="2" customFormat="1">
      <c r="A63" s="2" t="s">
        <v>24</v>
      </c>
      <c r="B63" s="13">
        <f>B62/B61*100</f>
        <v>51.550315402963129</v>
      </c>
      <c r="C63" s="2" t="s">
        <v>1</v>
      </c>
    </row>
    <row r="64" spans="1:3" s="2" customFormat="1"/>
    <row r="65" spans="1:7" s="2" customFormat="1">
      <c r="A65" s="1" t="s">
        <v>113</v>
      </c>
    </row>
    <row r="66" spans="1:7" s="2" customFormat="1">
      <c r="A66" s="30" t="s">
        <v>99</v>
      </c>
    </row>
    <row r="67" spans="1:7" s="2" customFormat="1">
      <c r="A67" s="2" t="s">
        <v>35</v>
      </c>
      <c r="B67" s="2">
        <v>10</v>
      </c>
      <c r="C67" s="2" t="s">
        <v>5</v>
      </c>
    </row>
    <row r="68" spans="1:7" s="2" customFormat="1">
      <c r="A68" s="2" t="s">
        <v>45</v>
      </c>
      <c r="B68" s="2">
        <v>100</v>
      </c>
      <c r="C68" s="2" t="s">
        <v>1</v>
      </c>
    </row>
    <row r="69" spans="1:7" s="2" customFormat="1">
      <c r="A69" s="2" t="s">
        <v>68</v>
      </c>
      <c r="B69" s="10">
        <f>0.0496965*B67^3+0.979515*B67^2+46.9035*B67+609.484</f>
        <v>1226.1669999999999</v>
      </c>
      <c r="C69" s="2" t="s">
        <v>19</v>
      </c>
    </row>
    <row r="70" spans="1:7" s="2" customFormat="1">
      <c r="A70" s="2" t="s">
        <v>46</v>
      </c>
      <c r="B70" s="17">
        <f>0.622*B68/100*B69/(101325-B68/100*B69)</f>
        <v>7.6192284279677858E-3</v>
      </c>
      <c r="C70" s="2" t="s">
        <v>11</v>
      </c>
    </row>
    <row r="71" spans="1:7" s="2" customFormat="1">
      <c r="A71" s="2" t="s">
        <v>47</v>
      </c>
      <c r="B71" s="6">
        <f>1.006*B67+B70*(2501+1.805*B67)</f>
        <v>29.253217371472253</v>
      </c>
      <c r="C71" s="2" t="s">
        <v>13</v>
      </c>
    </row>
    <row r="72" spans="1:7" s="2" customFormat="1"/>
    <row r="73" spans="1:7" s="2" customFormat="1">
      <c r="A73" s="1" t="s">
        <v>114</v>
      </c>
    </row>
    <row r="74" spans="1:7" s="2" customFormat="1">
      <c r="A74" s="30" t="s">
        <v>116</v>
      </c>
    </row>
    <row r="75" spans="1:7" s="2" customFormat="1">
      <c r="A75" s="2" t="s">
        <v>107</v>
      </c>
      <c r="B75" s="16">
        <f>B67+(B39-B70)/((B60-B70)/(B58-B67))</f>
        <v>14.342357972916204</v>
      </c>
      <c r="C75" s="2" t="s">
        <v>5</v>
      </c>
      <c r="D75" s="11" t="s">
        <v>54</v>
      </c>
      <c r="E75" s="11"/>
      <c r="F75" s="11"/>
      <c r="G75" s="11"/>
    </row>
    <row r="76" spans="1:7" s="2" customFormat="1">
      <c r="A76" s="2" t="s">
        <v>108</v>
      </c>
      <c r="B76" s="9">
        <f>(B75-B67)/(B58-B67)</f>
        <v>0.20677895109124786</v>
      </c>
      <c r="D76" s="11" t="s">
        <v>55</v>
      </c>
      <c r="E76" s="11"/>
      <c r="F76" s="11"/>
      <c r="G76" s="11"/>
    </row>
    <row r="77" spans="1:7" s="2" customFormat="1">
      <c r="A77" s="2" t="s">
        <v>109</v>
      </c>
      <c r="B77" s="25">
        <f>B39</f>
        <v>9.0472459773545677E-3</v>
      </c>
      <c r="C77" s="2" t="s">
        <v>33</v>
      </c>
      <c r="E77" s="9"/>
    </row>
    <row r="78" spans="1:7" s="2" customFormat="1">
      <c r="A78" s="2" t="s">
        <v>110</v>
      </c>
      <c r="B78" s="10">
        <f>0.0496965*B75^3+0.979515*B75^2+46.9035*B75+609.484</f>
        <v>1630.2982515697649</v>
      </c>
      <c r="C78" s="2" t="s">
        <v>19</v>
      </c>
      <c r="D78" s="11" t="s">
        <v>36</v>
      </c>
    </row>
    <row r="79" spans="1:7" s="2" customFormat="1">
      <c r="A79" s="2" t="s">
        <v>111</v>
      </c>
      <c r="B79" s="10">
        <f>101325*B77/(0.622+B77)</f>
        <v>1452.6839384833447</v>
      </c>
      <c r="C79" s="2" t="s">
        <v>65</v>
      </c>
      <c r="D79" s="11" t="s">
        <v>66</v>
      </c>
    </row>
    <row r="80" spans="1:7" s="2" customFormat="1">
      <c r="A80" s="2" t="s">
        <v>37</v>
      </c>
      <c r="B80" s="13">
        <f>B79/B78*100</f>
        <v>89.105409828207769</v>
      </c>
      <c r="C80" s="2" t="s">
        <v>1</v>
      </c>
      <c r="D80" s="11" t="s">
        <v>67</v>
      </c>
    </row>
    <row r="81" spans="1:7" s="2" customFormat="1">
      <c r="A81" s="2" t="s">
        <v>112</v>
      </c>
      <c r="B81" s="6">
        <f>1.006*B75+B77*(2501+1.9*B75)</f>
        <v>37.302116107022343</v>
      </c>
      <c r="C81" s="2" t="s">
        <v>64</v>
      </c>
      <c r="G81" s="15"/>
    </row>
    <row r="82" spans="1:7" s="2" customFormat="1"/>
    <row r="83" spans="1:7" s="2" customFormat="1">
      <c r="A83" s="1" t="s">
        <v>102</v>
      </c>
    </row>
    <row r="84" spans="1:7" s="2" customFormat="1">
      <c r="A84" s="2" t="s">
        <v>38</v>
      </c>
      <c r="B84" s="13">
        <f>B52*(B59-B81)</f>
        <v>44.767774349074948</v>
      </c>
      <c r="C84" s="2" t="s">
        <v>40</v>
      </c>
    </row>
    <row r="85" spans="1:7" s="2" customFormat="1">
      <c r="B85" s="13"/>
      <c r="G85" s="5"/>
    </row>
    <row r="86" spans="1:7" s="2" customFormat="1">
      <c r="A86" s="1" t="s">
        <v>52</v>
      </c>
      <c r="G86" s="5"/>
    </row>
    <row r="87" spans="1:7" s="2" customFormat="1">
      <c r="A87" s="2" t="s">
        <v>41</v>
      </c>
      <c r="B87" s="7">
        <f>B52*(B60-B39)</f>
        <v>7.8957150809898322E-3</v>
      </c>
      <c r="C87" s="2" t="s">
        <v>9</v>
      </c>
      <c r="D87" s="5">
        <f>B87*3600</f>
        <v>28.424574291563395</v>
      </c>
      <c r="E87" s="2" t="s">
        <v>30</v>
      </c>
    </row>
    <row r="88" spans="1:7" s="2" customFormat="1">
      <c r="D88" s="5"/>
    </row>
    <row r="89" spans="1:7" s="2" customFormat="1">
      <c r="A89" s="1" t="s">
        <v>103</v>
      </c>
      <c r="B89" s="3"/>
    </row>
    <row r="90" spans="1:7" s="2" customFormat="1">
      <c r="A90" s="2" t="s">
        <v>39</v>
      </c>
      <c r="B90" s="13">
        <f>B52*(B40-B81)</f>
        <v>0.94336463161934692</v>
      </c>
      <c r="C90" s="2" t="s">
        <v>40</v>
      </c>
    </row>
    <row r="91" spans="1:7" s="2" customFormat="1"/>
    <row r="92" spans="1:7" s="2" customFormat="1"/>
    <row r="93" spans="1:7" s="2" customFormat="1">
      <c r="A93" s="1"/>
    </row>
    <row r="94" spans="1:7" s="2" customFormat="1">
      <c r="B94" s="18"/>
    </row>
    <row r="95" spans="1:7" s="2" customFormat="1"/>
    <row r="96" spans="1:7" s="2" customFormat="1">
      <c r="B96" s="5"/>
    </row>
    <row r="97" spans="2:7" s="2" customFormat="1">
      <c r="B97" s="5"/>
    </row>
    <row r="98" spans="2:7" s="2" customFormat="1">
      <c r="B98" s="5"/>
      <c r="G98"/>
    </row>
    <row r="99" spans="2:7" s="2" customFormat="1"/>
    <row r="100" spans="2:7" s="2" customFormat="1"/>
    <row r="101" spans="2:7" s="29" customFormat="1">
      <c r="B101" s="32"/>
    </row>
    <row r="102" spans="2:7" s="29" customFormat="1">
      <c r="B102" s="33"/>
    </row>
    <row r="103" spans="2:7" s="29" customFormat="1"/>
    <row r="104" spans="2:7" s="29" customFormat="1"/>
    <row r="105" spans="2:7" s="29" customFormat="1"/>
    <row r="106" spans="2:7" s="29" customFormat="1"/>
    <row r="107" spans="2:7" s="29" customFormat="1"/>
    <row r="108" spans="2:7" s="29" customFormat="1"/>
    <row r="109" spans="2:7" s="29" customFormat="1"/>
    <row r="140" spans="5:7">
      <c r="E140" s="21"/>
    </row>
    <row r="141" spans="5:7">
      <c r="E141" s="22"/>
    </row>
    <row r="142" spans="5:7">
      <c r="E142" s="22"/>
      <c r="G142" s="23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Estivo senza ricircolo</vt:lpstr>
      <vt:lpstr>Estivo con ricircolo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R5800u</cp:lastModifiedBy>
  <cp:lastPrinted>2025-11-18T18:50:42Z</cp:lastPrinted>
  <dcterms:created xsi:type="dcterms:W3CDTF">2020-11-17T10:40:44Z</dcterms:created>
  <dcterms:modified xsi:type="dcterms:W3CDTF">2025-11-18T18:50:47Z</dcterms:modified>
</cp:coreProperties>
</file>